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archese\Desktop\"/>
    </mc:Choice>
  </mc:AlternateContent>
  <bookViews>
    <workbookView xWindow="0" yWindow="0" windowWidth="20490" windowHeight="7620"/>
  </bookViews>
  <sheets>
    <sheet name="TAX CALC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G9" i="3"/>
  <c r="D48" i="3" l="1"/>
  <c r="D47" i="3"/>
  <c r="D38" i="3"/>
  <c r="D37" i="3"/>
  <c r="F36" i="3"/>
  <c r="D36" i="3" s="1"/>
  <c r="F35" i="3"/>
  <c r="D35" i="3"/>
  <c r="F34" i="3"/>
  <c r="D34" i="3" s="1"/>
  <c r="F33" i="3"/>
  <c r="G32" i="3"/>
  <c r="D32" i="3"/>
  <c r="D28" i="3"/>
  <c r="D27" i="3"/>
  <c r="F26" i="3"/>
  <c r="D26" i="3"/>
  <c r="F25" i="3"/>
  <c r="D25" i="3" s="1"/>
  <c r="F24" i="3"/>
  <c r="D24" i="3" s="1"/>
  <c r="F23" i="3"/>
  <c r="G22" i="3"/>
  <c r="D22" i="3"/>
  <c r="F8" i="3"/>
  <c r="G8" i="3" s="1"/>
  <c r="G33" i="3" l="1"/>
  <c r="G34" i="3" s="1"/>
  <c r="G23" i="3"/>
  <c r="G24" i="3" s="1"/>
  <c r="H24" i="3" s="1"/>
  <c r="H22" i="3"/>
  <c r="I22" i="3" s="1"/>
  <c r="G12" i="3"/>
  <c r="H23" i="3"/>
  <c r="H32" i="3"/>
  <c r="H33" i="3"/>
  <c r="I33" i="3" s="1"/>
  <c r="F12" i="3"/>
  <c r="D23" i="3"/>
  <c r="D33" i="3"/>
  <c r="J22" i="3" l="1"/>
  <c r="J23" i="3"/>
  <c r="K23" i="3"/>
  <c r="K32" i="3"/>
  <c r="L32" i="3" s="1"/>
  <c r="K22" i="3"/>
  <c r="L22" i="3" s="1"/>
  <c r="I23" i="3"/>
  <c r="I32" i="3"/>
  <c r="G35" i="3"/>
  <c r="J32" i="3"/>
  <c r="K24" i="3"/>
  <c r="H34" i="3"/>
  <c r="I34" i="3" s="1"/>
  <c r="K33" i="3"/>
  <c r="I24" i="3"/>
  <c r="G25" i="3"/>
  <c r="J24" i="3"/>
  <c r="J4" i="3"/>
  <c r="J8" i="3" s="1"/>
  <c r="K4" i="3"/>
  <c r="J33" i="3"/>
  <c r="G36" i="3" l="1"/>
  <c r="H35" i="3"/>
  <c r="K8" i="3"/>
  <c r="L4" i="3"/>
  <c r="L8" i="3" s="1"/>
  <c r="K34" i="3"/>
  <c r="G26" i="3"/>
  <c r="H25" i="3"/>
  <c r="L23" i="3"/>
  <c r="L24" i="3" s="1"/>
  <c r="L33" i="3"/>
  <c r="J34" i="3"/>
  <c r="M34" i="3" l="1"/>
  <c r="G27" i="3"/>
  <c r="H26" i="3"/>
  <c r="J26" i="3" s="1"/>
  <c r="M35" i="3"/>
  <c r="K35" i="3"/>
  <c r="K25" i="3"/>
  <c r="L25" i="3" s="1"/>
  <c r="M25" i="3"/>
  <c r="J35" i="3"/>
  <c r="J25" i="3"/>
  <c r="L34" i="3"/>
  <c r="I35" i="3"/>
  <c r="I25" i="3"/>
  <c r="M22" i="3"/>
  <c r="M24" i="3"/>
  <c r="M32" i="3"/>
  <c r="M33" i="3"/>
  <c r="M23" i="3"/>
  <c r="G37" i="3"/>
  <c r="H36" i="3"/>
  <c r="K36" i="3" l="1"/>
  <c r="M36" i="3"/>
  <c r="I36" i="3"/>
  <c r="K26" i="3"/>
  <c r="L26" i="3" s="1"/>
  <c r="M26" i="3"/>
  <c r="G38" i="3"/>
  <c r="H37" i="3"/>
  <c r="L35" i="3"/>
  <c r="I26" i="3"/>
  <c r="J36" i="3"/>
  <c r="G28" i="3"/>
  <c r="H27" i="3"/>
  <c r="K27" i="3" l="1"/>
  <c r="L27" i="3" s="1"/>
  <c r="M27" i="3"/>
  <c r="K37" i="3"/>
  <c r="M37" i="3"/>
  <c r="I37" i="3"/>
  <c r="I27" i="3"/>
  <c r="J37" i="3"/>
  <c r="J27" i="3"/>
  <c r="H28" i="3"/>
  <c r="J28" i="3" s="1"/>
  <c r="H38" i="3"/>
  <c r="I38" i="3" s="1"/>
  <c r="L36" i="3"/>
  <c r="K38" i="3" l="1"/>
  <c r="M38" i="3"/>
  <c r="K28" i="3"/>
  <c r="L28" i="3" s="1"/>
  <c r="M28" i="3"/>
  <c r="L37" i="3"/>
  <c r="J38" i="3"/>
  <c r="I28" i="3"/>
  <c r="L38" i="3" l="1"/>
  <c r="D42" i="3"/>
  <c r="D44" i="3"/>
  <c r="D45" i="3"/>
  <c r="D46" i="3"/>
  <c r="G42" i="3"/>
  <c r="G43" i="3" s="1"/>
  <c r="H43" i="3" s="1"/>
  <c r="H42" i="3" l="1"/>
  <c r="I42" i="3" s="1"/>
  <c r="M43" i="3"/>
  <c r="J43" i="3"/>
  <c r="G44" i="3"/>
  <c r="I43" i="3"/>
  <c r="D43" i="3"/>
  <c r="M42" i="3" l="1"/>
  <c r="K42" i="3"/>
  <c r="L42" i="3" s="1"/>
  <c r="K43" i="3"/>
  <c r="J42" i="3"/>
  <c r="H44" i="3"/>
  <c r="G45" i="3"/>
  <c r="L43" i="3" l="1"/>
  <c r="K44" i="3"/>
  <c r="M44" i="3"/>
  <c r="I44" i="3"/>
  <c r="J44" i="3"/>
  <c r="H45" i="3"/>
  <c r="I45" i="3" s="1"/>
  <c r="G46" i="3"/>
  <c r="L44" i="3" l="1"/>
  <c r="J45" i="3"/>
  <c r="G47" i="3"/>
  <c r="H46" i="3"/>
  <c r="M45" i="3"/>
  <c r="K45" i="3"/>
  <c r="L45" i="3" l="1"/>
  <c r="M46" i="3"/>
  <c r="K46" i="3"/>
  <c r="J46" i="3"/>
  <c r="I46" i="3"/>
  <c r="H47" i="3"/>
  <c r="G48" i="3"/>
  <c r="L46" i="3" l="1"/>
  <c r="H48" i="3"/>
  <c r="J48" i="3" s="1"/>
  <c r="M47" i="3"/>
  <c r="K47" i="3"/>
  <c r="I47" i="3"/>
  <c r="J47" i="3"/>
  <c r="L47" i="3" l="1"/>
  <c r="K48" i="3"/>
  <c r="M48" i="3"/>
  <c r="I48" i="3"/>
  <c r="L48" i="3" l="1"/>
</calcChain>
</file>

<file path=xl/sharedStrings.xml><?xml version="1.0" encoding="utf-8"?>
<sst xmlns="http://schemas.openxmlformats.org/spreadsheetml/2006/main" count="99" uniqueCount="64">
  <si>
    <t>Taxpayer copy</t>
  </si>
  <si>
    <t xml:space="preserve">AVONDALE </t>
  </si>
  <si>
    <t>DESCRIPTION</t>
  </si>
  <si>
    <t>ASSESSMENT</t>
  </si>
  <si>
    <t>RATE</t>
  </si>
  <si>
    <t>2% DISC</t>
  </si>
  <si>
    <t>FACE AMOUNT</t>
  </si>
  <si>
    <t>10% PENALTY</t>
  </si>
  <si>
    <t>ASSESSED VALUE</t>
  </si>
  <si>
    <t>HOMESTEAD REDUCTION</t>
  </si>
  <si>
    <t>TAXABLE ASSESSMENT</t>
  </si>
  <si>
    <t>YEAR 1</t>
  </si>
  <si>
    <t>YEAR 2</t>
  </si>
  <si>
    <t>YEAR 3</t>
  </si>
  <si>
    <t>YEAR 4</t>
  </si>
  <si>
    <t>YEAR 5</t>
  </si>
  <si>
    <t>PROPERTY DESCRIPTION</t>
  </si>
  <si>
    <t>LAND</t>
  </si>
  <si>
    <t>BUILDING</t>
  </si>
  <si>
    <t>LOT &amp; DWG</t>
  </si>
  <si>
    <t>IF PAID ON                    OR BEFORE</t>
  </si>
  <si>
    <t>IF PAID                      AFTER</t>
  </si>
  <si>
    <t xml:space="preserve">ACCT. </t>
  </si>
  <si>
    <t>123 Avon Grove Way</t>
  </si>
  <si>
    <t xml:space="preserve">                           , PA 19390</t>
  </si>
  <si>
    <t>NEW MILLAGE RATE</t>
  </si>
  <si>
    <t>To calculate your tax bill:</t>
  </si>
  <si>
    <t>1. In the PROPERTY DESCRIPTION BOX, enter your land and building values from your tax bill.</t>
  </si>
  <si>
    <t>2. If you have applied and are approved for the Homestead/Farmstead exemption, enter the assessment reduction amount from your tax bill as a negative number.</t>
  </si>
  <si>
    <t>ESTIMATES</t>
  </si>
  <si>
    <t>PARCEL #</t>
  </si>
  <si>
    <t>Mr. &amp; Mrs. Jones</t>
  </si>
  <si>
    <r>
      <rPr>
        <b/>
        <sz val="10"/>
        <color theme="1"/>
        <rFont val="Times New Roman"/>
        <family val="1"/>
      </rPr>
      <t>MAKE CHECKS PAYABLE TO</t>
    </r>
    <r>
      <rPr>
        <sz val="10"/>
        <color theme="1"/>
        <rFont val="Times New Roman"/>
        <family val="1"/>
      </rPr>
      <t>:</t>
    </r>
  </si>
  <si>
    <t>TOTAL INCREASE</t>
  </si>
  <si>
    <t xml:space="preserve"> </t>
  </si>
  <si>
    <t xml:space="preserve">GENERAL FUND </t>
  </si>
  <si>
    <t>INCREASE FOR GENERAL FUND</t>
  </si>
  <si>
    <t>CUMMULATIVE AMOUNT</t>
  </si>
  <si>
    <t>IF PAID ON OR BEFORE</t>
  </si>
  <si>
    <t>3. In the GENERAL FUND, enter estimated increases to achieve Max Act 1 Index.</t>
  </si>
  <si>
    <t>$77 MM or .22 MILLS TO MAINTAIN DEBT SERVICE AT 3.52 MILLS PER YEAR AFTER 5 YEAR PHASE IN</t>
  </si>
  <si>
    <t>$102 MM or .38 MILLS TO MAINTAIN DEBT SERVICE AT 4.34 MILLS PER YEAR AFTER 5 YEAR PHASE IN</t>
  </si>
  <si>
    <t>YEAR 6</t>
  </si>
  <si>
    <t>YEAR 7</t>
  </si>
  <si>
    <t>% CHANGE Tax $$</t>
  </si>
  <si>
    <t>NEW DEBT SERVICE</t>
  </si>
  <si>
    <t>PROJECTED MAX ADJ. ACT 1</t>
  </si>
  <si>
    <t xml:space="preserve"> OVERALL TAX INCREASE UP TO ADJ ACT 1 LIMIT</t>
  </si>
  <si>
    <t>INCREASE FOR DEBT SERVICE</t>
  </si>
  <si>
    <t>AGSD            TAX BILL            FACE AMOUNT</t>
  </si>
  <si>
    <t>2019-20</t>
  </si>
  <si>
    <t>2020-21</t>
  </si>
  <si>
    <t>2021-22</t>
  </si>
  <si>
    <t>2022-23</t>
  </si>
  <si>
    <t>2023-24</t>
  </si>
  <si>
    <t>2024-25</t>
  </si>
  <si>
    <t xml:space="preserve">AVON GROVE SCHOOL DISTRICT    2018-19 SCHOOL TAX  DATE 7/1/2018  BILL # </t>
  </si>
  <si>
    <t>Keystone Collections Group</t>
  </si>
  <si>
    <t>PO Box 505</t>
  </si>
  <si>
    <t>Irwin, PA 15642</t>
  </si>
  <si>
    <t>2018 REAL ESTATE</t>
  </si>
  <si>
    <t>30.690</t>
  </si>
  <si>
    <t>2025-26</t>
  </si>
  <si>
    <t>AGSD APPROVED MAX PROJECT FINANCING PLAN OF $127 MM or 2.86 MILLS OVER 5 YEARS (PFM/RBC ANALYSIS 10/22/18)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</si>
</sst>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_(* #,##0.0000_);_(* \(#,##0.0000\);_(* &quot;-&quot;??_);_(@_)"/>
    <numFmt numFmtId="167" formatCode="0.0%"/>
    <numFmt numFmtId="168" formatCode="0.0000%"/>
    <numFmt numFmtId="169" formatCode="0.0000_);[Red]\(0.0000\)"/>
    <numFmt numFmtId="170" formatCode="_(* #,##0_);_(* \(#,##0\);_(* &quot;-&quot;??_);_(@_)"/>
    <numFmt numFmtId="171" formatCode="#,##0.0000_);\(#,##0.0000\)"/>
    <numFmt numFmtId="172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0" xfId="0" applyFont="1" applyAlignment="1">
      <alignment horizontal="left" vertical="top"/>
    </xf>
    <xf numFmtId="0" fontId="1" fillId="0" borderId="0" xfId="0" applyFont="1"/>
    <xf numFmtId="0" fontId="5" fillId="0" borderId="0" xfId="0" applyFont="1"/>
    <xf numFmtId="168" fontId="2" fillId="0" borderId="0" xfId="3" applyNumberFormat="1" applyFont="1" applyFill="1"/>
    <xf numFmtId="166" fontId="2" fillId="0" borderId="22" xfId="1" applyNumberFormat="1" applyFont="1" applyFill="1" applyBorder="1"/>
    <xf numFmtId="166" fontId="2" fillId="0" borderId="18" xfId="1" applyNumberFormat="1" applyFont="1" applyFill="1" applyBorder="1"/>
    <xf numFmtId="0" fontId="1" fillId="0" borderId="22" xfId="0" applyFont="1" applyBorder="1"/>
    <xf numFmtId="0" fontId="1" fillId="0" borderId="18" xfId="0" applyFont="1" applyBorder="1"/>
    <xf numFmtId="169" fontId="2" fillId="0" borderId="22" xfId="0" applyNumberFormat="1" applyFont="1" applyFill="1" applyBorder="1" applyAlignment="1">
      <alignment horizontal="center"/>
    </xf>
    <xf numFmtId="169" fontId="2" fillId="0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vertical="top"/>
    </xf>
    <xf numFmtId="167" fontId="2" fillId="0" borderId="0" xfId="3" applyNumberFormat="1" applyFont="1"/>
    <xf numFmtId="0" fontId="1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8" fillId="0" borderId="0" xfId="0" applyFont="1"/>
    <xf numFmtId="0" fontId="1" fillId="3" borderId="26" xfId="0" applyFont="1" applyFill="1" applyBorder="1" applyAlignment="1">
      <alignment horizontal="left"/>
    </xf>
    <xf numFmtId="0" fontId="2" fillId="3" borderId="29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170" fontId="2" fillId="3" borderId="12" xfId="1" applyNumberFormat="1" applyFont="1" applyFill="1" applyBorder="1" applyAlignment="1">
      <alignment horizontal="right"/>
    </xf>
    <xf numFmtId="49" fontId="2" fillId="3" borderId="12" xfId="0" applyNumberFormat="1" applyFont="1" applyFill="1" applyBorder="1" applyAlignment="1">
      <alignment horizontal="right"/>
    </xf>
    <xf numFmtId="43" fontId="2" fillId="3" borderId="12" xfId="1" applyFont="1" applyFill="1" applyBorder="1"/>
    <xf numFmtId="2" fontId="2" fillId="3" borderId="31" xfId="0" applyNumberFormat="1" applyFont="1" applyFill="1" applyBorder="1"/>
    <xf numFmtId="0" fontId="2" fillId="3" borderId="13" xfId="0" applyFont="1" applyFill="1" applyBorder="1"/>
    <xf numFmtId="0" fontId="2" fillId="3" borderId="32" xfId="0" applyFont="1" applyFill="1" applyBorder="1"/>
    <xf numFmtId="0" fontId="2" fillId="3" borderId="14" xfId="0" applyFont="1" applyFill="1" applyBorder="1"/>
    <xf numFmtId="0" fontId="2" fillId="3" borderId="34" xfId="0" applyFont="1" applyFill="1" applyBorder="1"/>
    <xf numFmtId="0" fontId="2" fillId="3" borderId="6" xfId="0" applyFont="1" applyFill="1" applyBorder="1"/>
    <xf numFmtId="170" fontId="2" fillId="3" borderId="7" xfId="1" applyNumberFormat="1" applyFont="1" applyFill="1" applyBorder="1" applyAlignment="1">
      <alignment horizontal="right"/>
    </xf>
    <xf numFmtId="164" fontId="2" fillId="3" borderId="12" xfId="0" applyNumberFormat="1" applyFont="1" applyFill="1" applyBorder="1"/>
    <xf numFmtId="0" fontId="2" fillId="3" borderId="8" xfId="0" applyFont="1" applyFill="1" applyBorder="1"/>
    <xf numFmtId="164" fontId="2" fillId="3" borderId="13" xfId="0" applyNumberFormat="1" applyFont="1" applyFill="1" applyBorder="1"/>
    <xf numFmtId="0" fontId="2" fillId="3" borderId="9" xfId="0" applyFont="1" applyFill="1" applyBorder="1"/>
    <xf numFmtId="0" fontId="2" fillId="3" borderId="11" xfId="0" applyFont="1" applyFill="1" applyBorder="1"/>
    <xf numFmtId="170" fontId="2" fillId="3" borderId="11" xfId="1" applyNumberFormat="1" applyFont="1" applyFill="1" applyBorder="1"/>
    <xf numFmtId="164" fontId="2" fillId="3" borderId="14" xfId="0" applyNumberFormat="1" applyFont="1" applyFill="1" applyBorder="1"/>
    <xf numFmtId="14" fontId="2" fillId="3" borderId="14" xfId="0" applyNumberFormat="1" applyFont="1" applyFill="1" applyBorder="1" applyAlignment="1">
      <alignment horizontal="center"/>
    </xf>
    <xf numFmtId="14" fontId="2" fillId="3" borderId="34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2" fillId="3" borderId="35" xfId="0" applyFont="1" applyFill="1" applyBorder="1"/>
    <xf numFmtId="0" fontId="2" fillId="3" borderId="2" xfId="0" applyFont="1" applyFill="1" applyBorder="1"/>
    <xf numFmtId="0" fontId="2" fillId="3" borderId="7" xfId="0" applyFont="1" applyFill="1" applyBorder="1"/>
    <xf numFmtId="0" fontId="2" fillId="3" borderId="36" xfId="0" applyFont="1" applyFill="1" applyBorder="1"/>
    <xf numFmtId="0" fontId="1" fillId="3" borderId="16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10" xfId="0" applyFont="1" applyFill="1" applyBorder="1" applyAlignment="1"/>
    <xf numFmtId="0" fontId="1" fillId="3" borderId="15" xfId="0" applyFont="1" applyFill="1" applyBorder="1" applyAlignment="1"/>
    <xf numFmtId="0" fontId="2" fillId="3" borderId="15" xfId="0" applyFont="1" applyFill="1" applyBorder="1" applyAlignment="1"/>
    <xf numFmtId="0" fontId="1" fillId="3" borderId="17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2" fillId="3" borderId="21" xfId="0" applyFont="1" applyFill="1" applyBorder="1"/>
    <xf numFmtId="0" fontId="2" fillId="3" borderId="37" xfId="0" applyFont="1" applyFill="1" applyBorder="1"/>
    <xf numFmtId="0" fontId="2" fillId="3" borderId="38" xfId="0" applyFont="1" applyFill="1" applyBorder="1"/>
    <xf numFmtId="165" fontId="2" fillId="3" borderId="37" xfId="0" applyNumberFormat="1" applyFont="1" applyFill="1" applyBorder="1" applyAlignment="1"/>
    <xf numFmtId="0" fontId="2" fillId="3" borderId="39" xfId="0" applyFont="1" applyFill="1" applyBorder="1"/>
    <xf numFmtId="0" fontId="9" fillId="3" borderId="12" xfId="0" applyFont="1" applyFill="1" applyBorder="1" applyAlignment="1">
      <alignment horizontal="center"/>
    </xf>
    <xf numFmtId="0" fontId="9" fillId="3" borderId="12" xfId="0" applyFont="1" applyFill="1" applyBorder="1"/>
    <xf numFmtId="0" fontId="9" fillId="3" borderId="13" xfId="0" applyFont="1" applyFill="1" applyBorder="1"/>
    <xf numFmtId="43" fontId="1" fillId="3" borderId="12" xfId="1" applyFont="1" applyFill="1" applyBorder="1"/>
    <xf numFmtId="0" fontId="1" fillId="0" borderId="22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172" fontId="2" fillId="0" borderId="22" xfId="0" applyNumberFormat="1" applyFont="1" applyFill="1" applyBorder="1" applyAlignment="1">
      <alignment horizontal="right"/>
    </xf>
    <xf numFmtId="172" fontId="2" fillId="0" borderId="18" xfId="0" applyNumberFormat="1" applyFont="1" applyFill="1" applyBorder="1" applyAlignment="1">
      <alignment horizontal="right"/>
    </xf>
    <xf numFmtId="172" fontId="2" fillId="3" borderId="22" xfId="0" applyNumberFormat="1" applyFont="1" applyFill="1" applyBorder="1" applyAlignment="1">
      <alignment horizontal="right"/>
    </xf>
    <xf numFmtId="172" fontId="2" fillId="0" borderId="22" xfId="2" applyNumberFormat="1" applyFont="1" applyFill="1" applyBorder="1" applyAlignment="1">
      <alignment horizontal="right"/>
    </xf>
    <xf numFmtId="172" fontId="2" fillId="3" borderId="18" xfId="0" applyNumberFormat="1" applyFont="1" applyFill="1" applyBorder="1" applyAlignment="1">
      <alignment horizontal="right"/>
    </xf>
    <xf numFmtId="172" fontId="2" fillId="0" borderId="18" xfId="2" applyNumberFormat="1" applyFont="1" applyFill="1" applyBorder="1" applyAlignment="1">
      <alignment horizontal="right"/>
    </xf>
    <xf numFmtId="172" fontId="2" fillId="0" borderId="35" xfId="0" applyNumberFormat="1" applyFont="1" applyBorder="1" applyAlignment="1">
      <alignment horizontal="right"/>
    </xf>
    <xf numFmtId="172" fontId="2" fillId="0" borderId="40" xfId="0" applyNumberFormat="1" applyFont="1" applyBorder="1" applyAlignment="1">
      <alignment horizontal="right"/>
    </xf>
    <xf numFmtId="172" fontId="2" fillId="4" borderId="22" xfId="0" applyNumberFormat="1" applyFont="1" applyFill="1" applyBorder="1" applyAlignment="1">
      <alignment horizontal="right"/>
    </xf>
    <xf numFmtId="172" fontId="2" fillId="4" borderId="18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/>
    </xf>
    <xf numFmtId="7" fontId="2" fillId="3" borderId="22" xfId="0" applyNumberFormat="1" applyFont="1" applyFill="1" applyBorder="1" applyAlignment="1">
      <alignment horizontal="right"/>
    </xf>
    <xf numFmtId="7" fontId="2" fillId="0" borderId="22" xfId="2" applyNumberFormat="1" applyFont="1" applyFill="1" applyBorder="1" applyAlignment="1">
      <alignment horizontal="right"/>
    </xf>
    <xf numFmtId="7" fontId="2" fillId="0" borderId="22" xfId="0" applyNumberFormat="1" applyFont="1" applyFill="1" applyBorder="1" applyAlignment="1">
      <alignment horizontal="right"/>
    </xf>
    <xf numFmtId="7" fontId="2" fillId="4" borderId="16" xfId="0" applyNumberFormat="1" applyFont="1" applyFill="1" applyBorder="1" applyAlignment="1">
      <alignment horizontal="right"/>
    </xf>
    <xf numFmtId="7" fontId="2" fillId="0" borderId="18" xfId="0" applyNumberFormat="1" applyFont="1" applyBorder="1" applyAlignment="1">
      <alignment horizontal="right"/>
    </xf>
    <xf numFmtId="7" fontId="2" fillId="3" borderId="18" xfId="0" applyNumberFormat="1" applyFont="1" applyFill="1" applyBorder="1" applyAlignment="1">
      <alignment horizontal="right"/>
    </xf>
    <xf numFmtId="7" fontId="2" fillId="0" borderId="18" xfId="2" applyNumberFormat="1" applyFont="1" applyFill="1" applyBorder="1" applyAlignment="1">
      <alignment horizontal="right"/>
    </xf>
    <xf numFmtId="7" fontId="2" fillId="0" borderId="18" xfId="0" applyNumberFormat="1" applyFont="1" applyFill="1" applyBorder="1" applyAlignment="1">
      <alignment horizontal="right"/>
    </xf>
    <xf numFmtId="7" fontId="2" fillId="3" borderId="0" xfId="0" applyNumberFormat="1" applyFont="1" applyFill="1" applyBorder="1" applyAlignment="1">
      <alignment horizontal="right"/>
    </xf>
    <xf numFmtId="0" fontId="1" fillId="5" borderId="22" xfId="0" applyFont="1" applyFill="1" applyBorder="1"/>
    <xf numFmtId="171" fontId="2" fillId="5" borderId="41" xfId="1" applyNumberFormat="1" applyFont="1" applyFill="1" applyBorder="1"/>
    <xf numFmtId="169" fontId="2" fillId="5" borderId="22" xfId="0" applyNumberFormat="1" applyFont="1" applyFill="1" applyBorder="1" applyAlignment="1">
      <alignment horizontal="center"/>
    </xf>
    <xf numFmtId="7" fontId="2" fillId="5" borderId="41" xfId="0" applyNumberFormat="1" applyFont="1" applyFill="1" applyBorder="1" applyAlignment="1">
      <alignment horizontal="right"/>
    </xf>
    <xf numFmtId="7" fontId="2" fillId="5" borderId="22" xfId="2" applyNumberFormat="1" applyFont="1" applyFill="1" applyBorder="1" applyAlignment="1">
      <alignment horizontal="right"/>
    </xf>
    <xf numFmtId="7" fontId="2" fillId="5" borderId="22" xfId="0" applyNumberFormat="1" applyFont="1" applyFill="1" applyBorder="1" applyAlignment="1">
      <alignment horizontal="right"/>
    </xf>
    <xf numFmtId="7" fontId="2" fillId="5" borderId="40" xfId="0" applyNumberFormat="1" applyFont="1" applyFill="1" applyBorder="1" applyAlignment="1">
      <alignment horizontal="right"/>
    </xf>
    <xf numFmtId="0" fontId="1" fillId="5" borderId="19" xfId="0" applyFont="1" applyFill="1" applyBorder="1"/>
    <xf numFmtId="171" fontId="2" fillId="5" borderId="21" xfId="1" applyNumberFormat="1" applyFont="1" applyFill="1" applyBorder="1"/>
    <xf numFmtId="169" fontId="2" fillId="5" borderId="19" xfId="0" applyNumberFormat="1" applyFont="1" applyFill="1" applyBorder="1" applyAlignment="1">
      <alignment horizontal="center"/>
    </xf>
    <xf numFmtId="7" fontId="2" fillId="5" borderId="21" xfId="0" applyNumberFormat="1" applyFont="1" applyFill="1" applyBorder="1" applyAlignment="1">
      <alignment horizontal="right"/>
    </xf>
    <xf numFmtId="7" fontId="2" fillId="5" borderId="19" xfId="2" applyNumberFormat="1" applyFont="1" applyFill="1" applyBorder="1" applyAlignment="1">
      <alignment horizontal="right"/>
    </xf>
    <xf numFmtId="7" fontId="2" fillId="5" borderId="19" xfId="0" applyNumberFormat="1" applyFont="1" applyFill="1" applyBorder="1" applyAlignment="1">
      <alignment horizontal="right"/>
    </xf>
    <xf numFmtId="7" fontId="2" fillId="5" borderId="39" xfId="0" applyNumberFormat="1" applyFont="1" applyFill="1" applyBorder="1" applyAlignment="1">
      <alignment horizontal="right"/>
    </xf>
    <xf numFmtId="171" fontId="2" fillId="5" borderId="22" xfId="1" applyNumberFormat="1" applyFont="1" applyFill="1" applyBorder="1"/>
    <xf numFmtId="171" fontId="2" fillId="5" borderId="19" xfId="1" applyNumberFormat="1" applyFont="1" applyFill="1" applyBorder="1"/>
    <xf numFmtId="172" fontId="2" fillId="5" borderId="22" xfId="0" applyNumberFormat="1" applyFont="1" applyFill="1" applyBorder="1" applyAlignment="1">
      <alignment horizontal="right"/>
    </xf>
    <xf numFmtId="172" fontId="2" fillId="5" borderId="22" xfId="2" applyNumberFormat="1" applyFont="1" applyFill="1" applyBorder="1" applyAlignment="1">
      <alignment horizontal="right"/>
    </xf>
    <xf numFmtId="172" fontId="2" fillId="5" borderId="40" xfId="0" applyNumberFormat="1" applyFont="1" applyFill="1" applyBorder="1" applyAlignment="1">
      <alignment horizontal="right"/>
    </xf>
    <xf numFmtId="172" fontId="2" fillId="5" borderId="19" xfId="0" applyNumberFormat="1" applyFont="1" applyFill="1" applyBorder="1" applyAlignment="1">
      <alignment horizontal="right"/>
    </xf>
    <xf numFmtId="172" fontId="2" fillId="5" borderId="19" xfId="2" applyNumberFormat="1" applyFont="1" applyFill="1" applyBorder="1" applyAlignment="1">
      <alignment horizontal="right"/>
    </xf>
    <xf numFmtId="172" fontId="2" fillId="5" borderId="39" xfId="0" applyNumberFormat="1" applyFont="1" applyFill="1" applyBorder="1" applyAlignment="1">
      <alignment horizontal="right"/>
    </xf>
    <xf numFmtId="10" fontId="5" fillId="0" borderId="0" xfId="3" applyNumberFormat="1" applyFont="1"/>
    <xf numFmtId="0" fontId="1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0" fontId="1" fillId="0" borderId="22" xfId="3" applyNumberFormat="1" applyFont="1" applyBorder="1"/>
    <xf numFmtId="10" fontId="1" fillId="0" borderId="18" xfId="3" applyNumberFormat="1" applyFont="1" applyBorder="1"/>
    <xf numFmtId="10" fontId="1" fillId="5" borderId="22" xfId="3" applyNumberFormat="1" applyFont="1" applyFill="1" applyBorder="1"/>
    <xf numFmtId="10" fontId="1" fillId="5" borderId="19" xfId="3" applyNumberFormat="1" applyFont="1" applyFill="1" applyBorder="1"/>
    <xf numFmtId="10" fontId="2" fillId="0" borderId="22" xfId="3" applyNumberFormat="1" applyFont="1" applyBorder="1"/>
    <xf numFmtId="10" fontId="2" fillId="0" borderId="18" xfId="3" applyNumberFormat="1" applyFont="1" applyBorder="1"/>
    <xf numFmtId="10" fontId="2" fillId="5" borderId="22" xfId="3" applyNumberFormat="1" applyFont="1" applyFill="1" applyBorder="1"/>
    <xf numFmtId="10" fontId="2" fillId="5" borderId="19" xfId="3" applyNumberFormat="1" applyFont="1" applyFill="1" applyBorder="1"/>
    <xf numFmtId="10" fontId="2" fillId="5" borderId="23" xfId="3" applyNumberFormat="1" applyFont="1" applyFill="1" applyBorder="1"/>
    <xf numFmtId="10" fontId="2" fillId="5" borderId="17" xfId="3" applyNumberFormat="1" applyFont="1" applyFill="1" applyBorder="1"/>
    <xf numFmtId="10" fontId="2" fillId="0" borderId="18" xfId="3" applyNumberFormat="1" applyFont="1" applyBorder="1" applyAlignment="1">
      <alignment horizontal="right" vertical="top" wrapText="1"/>
    </xf>
    <xf numFmtId="10" fontId="2" fillId="5" borderId="22" xfId="3" applyNumberFormat="1" applyFont="1" applyFill="1" applyBorder="1" applyAlignment="1">
      <alignment horizontal="right" vertical="top" wrapText="1"/>
    </xf>
    <xf numFmtId="10" fontId="2" fillId="5" borderId="19" xfId="3" applyNumberFormat="1" applyFont="1" applyFill="1" applyBorder="1" applyAlignment="1">
      <alignment horizontal="right" vertical="top" wrapText="1"/>
    </xf>
    <xf numFmtId="10" fontId="2" fillId="5" borderId="40" xfId="3" applyNumberFormat="1" applyFont="1" applyFill="1" applyBorder="1" applyAlignment="1">
      <alignment horizontal="right" vertical="top" wrapText="1"/>
    </xf>
    <xf numFmtId="10" fontId="2" fillId="5" borderId="39" xfId="3" applyNumberFormat="1" applyFont="1" applyFill="1" applyBorder="1" applyAlignment="1">
      <alignment horizontal="right" vertical="top" wrapText="1"/>
    </xf>
    <xf numFmtId="167" fontId="11" fillId="0" borderId="20" xfId="3" applyNumberFormat="1" applyFont="1" applyBorder="1" applyAlignment="1">
      <alignment horizontal="center" vertical="top" wrapText="1"/>
    </xf>
    <xf numFmtId="43" fontId="2" fillId="3" borderId="12" xfId="1" applyNumberFormat="1" applyFont="1" applyFill="1" applyBorder="1"/>
    <xf numFmtId="170" fontId="2" fillId="2" borderId="9" xfId="1" applyNumberFormat="1" applyFont="1" applyFill="1" applyBorder="1" applyProtection="1">
      <protection locked="0"/>
    </xf>
    <xf numFmtId="170" fontId="1" fillId="2" borderId="7" xfId="1" applyNumberFormat="1" applyFont="1" applyFill="1" applyBorder="1" applyAlignment="1" applyProtection="1">
      <protection locked="0"/>
    </xf>
    <xf numFmtId="170" fontId="1" fillId="2" borderId="9" xfId="1" applyNumberFormat="1" applyFont="1" applyFill="1" applyBorder="1" applyAlignment="1" applyProtection="1">
      <protection locked="0"/>
    </xf>
    <xf numFmtId="171" fontId="2" fillId="2" borderId="22" xfId="1" applyNumberFormat="1" applyFont="1" applyFill="1" applyBorder="1" applyProtection="1">
      <protection locked="0"/>
    </xf>
    <xf numFmtId="171" fontId="2" fillId="2" borderId="18" xfId="1" applyNumberFormat="1" applyFont="1" applyFill="1" applyBorder="1" applyProtection="1">
      <protection locked="0"/>
    </xf>
    <xf numFmtId="171" fontId="2" fillId="5" borderId="22" xfId="1" applyNumberFormat="1" applyFont="1" applyFill="1" applyBorder="1" applyProtection="1">
      <protection locked="0"/>
    </xf>
    <xf numFmtId="171" fontId="2" fillId="5" borderId="19" xfId="1" applyNumberFormat="1" applyFont="1" applyFill="1" applyBorder="1" applyProtection="1">
      <protection locked="0"/>
    </xf>
    <xf numFmtId="171" fontId="2" fillId="2" borderId="0" xfId="1" applyNumberFormat="1" applyFont="1" applyFill="1" applyBorder="1" applyProtection="1">
      <protection locked="0"/>
    </xf>
    <xf numFmtId="43" fontId="2" fillId="3" borderId="13" xfId="1" applyNumberFormat="1" applyFont="1" applyFill="1" applyBorder="1"/>
    <xf numFmtId="43" fontId="2" fillId="3" borderId="1" xfId="1" applyNumberFormat="1" applyFont="1" applyFill="1" applyBorder="1"/>
    <xf numFmtId="0" fontId="1" fillId="3" borderId="33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16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0" fontId="2" fillId="3" borderId="33" xfId="0" applyFont="1" applyFill="1" applyBorder="1" applyAlignment="1">
      <alignment horizontal="left" vertical="top"/>
    </xf>
    <xf numFmtId="0" fontId="2" fillId="3" borderId="15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left" vertical="top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3"/>
  <sheetViews>
    <sheetView showGridLines="0" tabSelected="1" topLeftCell="A15" zoomScale="95" zoomScaleNormal="95" workbookViewId="0">
      <selection activeCell="E43" sqref="E43"/>
    </sheetView>
  </sheetViews>
  <sheetFormatPr defaultColWidth="9" defaultRowHeight="15" x14ac:dyDescent="0.25"/>
  <cols>
    <col min="1" max="1" width="9" style="5"/>
    <col min="2" max="2" width="11.140625" style="5" customWidth="1"/>
    <col min="3" max="3" width="11" style="5" customWidth="1"/>
    <col min="4" max="4" width="16" style="5" customWidth="1"/>
    <col min="5" max="5" width="22" style="5" customWidth="1"/>
    <col min="6" max="6" width="14.140625" style="5" customWidth="1"/>
    <col min="7" max="7" width="19.85546875" style="5" customWidth="1"/>
    <col min="8" max="8" width="14.5703125" style="5" customWidth="1"/>
    <col min="9" max="9" width="15" style="5" customWidth="1"/>
    <col min="10" max="10" width="14.28515625" style="5" customWidth="1"/>
    <col min="11" max="11" width="17.5703125" style="5" customWidth="1"/>
    <col min="12" max="12" width="14.5703125" style="5" customWidth="1"/>
    <col min="13" max="13" width="9.42578125" style="5" bestFit="1" customWidth="1"/>
    <col min="14" max="16384" width="9" style="5"/>
  </cols>
  <sheetData>
    <row r="1" spans="2:12" ht="15.75" thickBot="1" x14ac:dyDescent="0.3"/>
    <row r="2" spans="2:12" ht="15" customHeight="1" x14ac:dyDescent="0.25">
      <c r="B2" s="168" t="s">
        <v>56</v>
      </c>
      <c r="C2" s="169"/>
      <c r="D2" s="169"/>
      <c r="E2" s="169"/>
      <c r="F2" s="169"/>
      <c r="G2" s="169"/>
      <c r="H2" s="22"/>
      <c r="I2" s="22"/>
      <c r="J2" s="170" t="s">
        <v>0</v>
      </c>
      <c r="K2" s="171"/>
      <c r="L2" s="172"/>
    </row>
    <row r="3" spans="2:12" x14ac:dyDescent="0.25">
      <c r="B3" s="23" t="s">
        <v>1</v>
      </c>
      <c r="C3" s="24"/>
      <c r="D3" s="25"/>
      <c r="E3" s="26" t="s">
        <v>2</v>
      </c>
      <c r="F3" s="26" t="s">
        <v>3</v>
      </c>
      <c r="G3" s="26" t="s">
        <v>4</v>
      </c>
      <c r="H3" s="26"/>
      <c r="I3" s="26"/>
      <c r="J3" s="26" t="s">
        <v>5</v>
      </c>
      <c r="K3" s="26" t="s">
        <v>6</v>
      </c>
      <c r="L3" s="27" t="s">
        <v>7</v>
      </c>
    </row>
    <row r="4" spans="2:12" x14ac:dyDescent="0.25">
      <c r="B4" s="173" t="s">
        <v>32</v>
      </c>
      <c r="C4" s="174"/>
      <c r="D4" s="175"/>
      <c r="E4" s="64" t="s">
        <v>60</v>
      </c>
      <c r="F4" s="28">
        <f>K16+K17</f>
        <v>169840</v>
      </c>
      <c r="G4" s="29" t="s">
        <v>61</v>
      </c>
      <c r="H4" s="29"/>
      <c r="I4" s="29"/>
      <c r="J4" s="30">
        <f>SUM(G12*0.98)</f>
        <v>4785.7850963999999</v>
      </c>
      <c r="K4" s="67">
        <f>G12</f>
        <v>4883.4541799999997</v>
      </c>
      <c r="L4" s="31">
        <f>SUM(K4*0.1)+K4</f>
        <v>5371.7995979999996</v>
      </c>
    </row>
    <row r="5" spans="2:12" x14ac:dyDescent="0.25">
      <c r="B5" s="176" t="s">
        <v>57</v>
      </c>
      <c r="C5" s="177"/>
      <c r="D5" s="178"/>
      <c r="E5" s="32"/>
      <c r="F5" s="32"/>
      <c r="G5" s="32"/>
      <c r="H5" s="32"/>
      <c r="I5" s="32"/>
      <c r="J5" s="32"/>
      <c r="K5" s="32"/>
      <c r="L5" s="33"/>
    </row>
    <row r="6" spans="2:12" x14ac:dyDescent="0.25">
      <c r="B6" s="176" t="s">
        <v>58</v>
      </c>
      <c r="C6" s="177"/>
      <c r="D6" s="178"/>
      <c r="E6" s="32"/>
      <c r="F6" s="32"/>
      <c r="G6" s="32"/>
      <c r="H6" s="32"/>
      <c r="I6" s="32"/>
      <c r="J6" s="32"/>
      <c r="K6" s="32"/>
      <c r="L6" s="33"/>
    </row>
    <row r="7" spans="2:12" x14ac:dyDescent="0.25">
      <c r="B7" s="179" t="s">
        <v>59</v>
      </c>
      <c r="C7" s="180"/>
      <c r="D7" s="181"/>
      <c r="E7" s="34"/>
      <c r="F7" s="34"/>
      <c r="G7" s="34"/>
      <c r="H7" s="34"/>
      <c r="I7" s="34"/>
      <c r="J7" s="34"/>
      <c r="K7" s="34"/>
      <c r="L7" s="35"/>
    </row>
    <row r="8" spans="2:12" x14ac:dyDescent="0.25">
      <c r="B8" s="154"/>
      <c r="C8" s="155"/>
      <c r="D8" s="156"/>
      <c r="E8" s="65" t="s">
        <v>8</v>
      </c>
      <c r="F8" s="37">
        <f>SUM(F4:F7)</f>
        <v>169840</v>
      </c>
      <c r="G8" s="134">
        <f>SUMPRODUCT(F8*0.03069)</f>
        <v>5212.3895999999995</v>
      </c>
      <c r="H8" s="38"/>
      <c r="I8" s="38"/>
      <c r="J8" s="30">
        <f>J4</f>
        <v>4785.7850963999999</v>
      </c>
      <c r="K8" s="67">
        <f>K4</f>
        <v>4883.4541799999997</v>
      </c>
      <c r="L8" s="31">
        <f>L4</f>
        <v>5371.7995979999996</v>
      </c>
    </row>
    <row r="9" spans="2:12" ht="15" customHeight="1" x14ac:dyDescent="0.25">
      <c r="B9" s="157" t="s">
        <v>34</v>
      </c>
      <c r="C9" s="158"/>
      <c r="D9" s="159"/>
      <c r="E9" s="66" t="s">
        <v>9</v>
      </c>
      <c r="F9" s="135">
        <v>-10718</v>
      </c>
      <c r="G9" s="143">
        <f>SUM(F9*0.03069)</f>
        <v>-328.93541999999997</v>
      </c>
      <c r="H9" s="40"/>
      <c r="I9" s="40"/>
      <c r="J9" s="163" t="s">
        <v>20</v>
      </c>
      <c r="K9" s="163" t="s">
        <v>38</v>
      </c>
      <c r="L9" s="164" t="s">
        <v>21</v>
      </c>
    </row>
    <row r="10" spans="2:12" ht="15" customHeight="1" x14ac:dyDescent="0.25">
      <c r="B10" s="160"/>
      <c r="C10" s="161"/>
      <c r="D10" s="162"/>
      <c r="E10" s="32"/>
      <c r="F10" s="41"/>
      <c r="G10" s="32"/>
      <c r="H10" s="32"/>
      <c r="I10" s="32"/>
      <c r="J10" s="163"/>
      <c r="K10" s="163"/>
      <c r="L10" s="164"/>
    </row>
    <row r="11" spans="2:12" ht="15" customHeight="1" x14ac:dyDescent="0.25">
      <c r="B11" s="165"/>
      <c r="C11" s="166"/>
      <c r="D11" s="167"/>
      <c r="E11" s="32"/>
      <c r="F11" s="42"/>
      <c r="G11" s="32"/>
      <c r="H11" s="32"/>
      <c r="I11" s="32"/>
      <c r="J11" s="163"/>
      <c r="K11" s="163"/>
      <c r="L11" s="164"/>
    </row>
    <row r="12" spans="2:12" x14ac:dyDescent="0.25">
      <c r="B12" s="145" t="s">
        <v>34</v>
      </c>
      <c r="C12" s="146"/>
      <c r="D12" s="147"/>
      <c r="E12" s="34" t="s">
        <v>10</v>
      </c>
      <c r="F12" s="43">
        <f>SUM(F8+F9)</f>
        <v>159122</v>
      </c>
      <c r="G12" s="144">
        <f>SUM(G8+G9)</f>
        <v>4883.4541799999997</v>
      </c>
      <c r="H12" s="44"/>
      <c r="I12" s="44"/>
      <c r="J12" s="45">
        <v>43343</v>
      </c>
      <c r="K12" s="45">
        <v>43404</v>
      </c>
      <c r="L12" s="46">
        <v>43404</v>
      </c>
    </row>
    <row r="13" spans="2:12" x14ac:dyDescent="0.25">
      <c r="B13" s="148"/>
      <c r="C13" s="149"/>
      <c r="D13" s="150"/>
      <c r="E13" s="47"/>
      <c r="F13" s="47"/>
      <c r="G13" s="47"/>
      <c r="H13" s="47"/>
      <c r="I13" s="47"/>
      <c r="J13" s="47"/>
      <c r="K13" s="47"/>
      <c r="L13" s="48"/>
    </row>
    <row r="14" spans="2:12" x14ac:dyDescent="0.25">
      <c r="B14" s="148" t="s">
        <v>31</v>
      </c>
      <c r="C14" s="149"/>
      <c r="D14" s="150"/>
      <c r="E14" s="49"/>
      <c r="F14" s="50"/>
      <c r="G14" s="151" t="s">
        <v>16</v>
      </c>
      <c r="H14" s="152"/>
      <c r="I14" s="152"/>
      <c r="J14" s="152"/>
      <c r="K14" s="153"/>
      <c r="L14" s="51" t="s">
        <v>22</v>
      </c>
    </row>
    <row r="15" spans="2:12" x14ac:dyDescent="0.25">
      <c r="B15" s="52" t="s">
        <v>23</v>
      </c>
      <c r="C15" s="53"/>
      <c r="D15" s="53"/>
      <c r="E15" s="47"/>
      <c r="F15" s="41"/>
      <c r="G15" s="54" t="s">
        <v>30</v>
      </c>
      <c r="H15" s="55"/>
      <c r="I15" s="55"/>
      <c r="J15" s="56"/>
      <c r="K15" s="41" t="s">
        <v>34</v>
      </c>
      <c r="L15" s="48"/>
    </row>
    <row r="16" spans="2:12" x14ac:dyDescent="0.25">
      <c r="B16" s="52" t="s">
        <v>24</v>
      </c>
      <c r="C16" s="53"/>
      <c r="D16" s="53"/>
      <c r="E16" s="47"/>
      <c r="F16" s="41"/>
      <c r="G16" s="36" t="s">
        <v>17</v>
      </c>
      <c r="H16" s="49"/>
      <c r="I16" s="49"/>
      <c r="J16" s="50"/>
      <c r="K16" s="136">
        <v>69840</v>
      </c>
      <c r="L16" s="48"/>
    </row>
    <row r="17" spans="2:17" x14ac:dyDescent="0.25">
      <c r="B17" s="52"/>
      <c r="C17" s="53"/>
      <c r="D17" s="53"/>
      <c r="E17" s="47"/>
      <c r="F17" s="41"/>
      <c r="G17" s="39" t="s">
        <v>18</v>
      </c>
      <c r="H17" s="47"/>
      <c r="I17" s="47"/>
      <c r="J17" s="41"/>
      <c r="K17" s="137">
        <v>100000</v>
      </c>
      <c r="L17" s="48"/>
    </row>
    <row r="18" spans="2:17" ht="15.75" thickBot="1" x14ac:dyDescent="0.3">
      <c r="B18" s="57"/>
      <c r="C18" s="58"/>
      <c r="D18" s="58"/>
      <c r="E18" s="59"/>
      <c r="F18" s="60"/>
      <c r="G18" s="61" t="s">
        <v>19</v>
      </c>
      <c r="H18" s="59"/>
      <c r="I18" s="59"/>
      <c r="J18" s="60"/>
      <c r="K18" s="62"/>
      <c r="L18" s="63"/>
    </row>
    <row r="19" spans="2:17" x14ac:dyDescent="0.25">
      <c r="B19" s="3"/>
      <c r="C19" s="3"/>
      <c r="D19" s="3"/>
      <c r="E19" s="1"/>
      <c r="F19" s="1"/>
      <c r="G19" s="2"/>
      <c r="H19" s="2"/>
      <c r="I19" s="2"/>
      <c r="J19" s="2"/>
      <c r="K19" s="2"/>
      <c r="L19" s="1"/>
    </row>
    <row r="20" spans="2:17" ht="21" hidden="1" thickBot="1" x14ac:dyDescent="0.3">
      <c r="B20" s="20" t="s">
        <v>40</v>
      </c>
      <c r="C20" s="18"/>
      <c r="D20" s="1"/>
      <c r="E20" s="6"/>
      <c r="F20" s="1"/>
      <c r="G20" s="1"/>
      <c r="H20" s="1"/>
      <c r="I20" s="1"/>
      <c r="J20" s="1"/>
      <c r="K20" s="1"/>
      <c r="L20" s="1"/>
    </row>
    <row r="21" spans="2:17" ht="39" hidden="1" thickBot="1" x14ac:dyDescent="0.3">
      <c r="B21" s="13" t="s">
        <v>29</v>
      </c>
      <c r="C21" s="133" t="s">
        <v>46</v>
      </c>
      <c r="D21" s="19" t="s">
        <v>47</v>
      </c>
      <c r="E21" s="14" t="s">
        <v>35</v>
      </c>
      <c r="F21" s="71" t="s">
        <v>45</v>
      </c>
      <c r="G21" s="68" t="s">
        <v>25</v>
      </c>
      <c r="H21" s="69" t="s">
        <v>49</v>
      </c>
      <c r="I21" s="69" t="s">
        <v>36</v>
      </c>
      <c r="J21" s="69" t="s">
        <v>48</v>
      </c>
      <c r="K21" s="70" t="s">
        <v>33</v>
      </c>
      <c r="L21" s="71" t="s">
        <v>37</v>
      </c>
      <c r="M21" s="19" t="s">
        <v>44</v>
      </c>
      <c r="Q21" s="115"/>
    </row>
    <row r="22" spans="2:17" hidden="1" x14ac:dyDescent="0.25">
      <c r="B22" s="9" t="s">
        <v>11</v>
      </c>
      <c r="C22" s="118">
        <v>3.1E-2</v>
      </c>
      <c r="D22" s="123">
        <f t="shared" ref="D22:D28" si="0">+(+E22+F22+$G$4)/$G$4-1</f>
        <v>7.1684587813620748E-3</v>
      </c>
      <c r="E22" s="138">
        <v>0</v>
      </c>
      <c r="F22" s="7">
        <v>0.22</v>
      </c>
      <c r="G22" s="11">
        <f>+E22+F22+G4</f>
        <v>30.91</v>
      </c>
      <c r="H22" s="74">
        <f>(($F$8/1000)*G22)+(($F$9/1000)*G22)</f>
        <v>4918.4610199999997</v>
      </c>
      <c r="I22" s="75">
        <f>(+E22/G22)*H22</f>
        <v>0</v>
      </c>
      <c r="J22" s="72">
        <f>+(+F22/G22)*H22</f>
        <v>35.006839999999997</v>
      </c>
      <c r="K22" s="80">
        <f>H22-G12</f>
        <v>35.006840000000011</v>
      </c>
      <c r="L22" s="79">
        <f>K22</f>
        <v>35.006840000000011</v>
      </c>
      <c r="M22" s="128">
        <f t="shared" ref="M22:M28" si="1">(H22-$K$8)/$K$8</f>
        <v>7.1684587813620098E-3</v>
      </c>
      <c r="N22" s="1"/>
      <c r="O22" s="1"/>
    </row>
    <row r="23" spans="2:17" hidden="1" x14ac:dyDescent="0.25">
      <c r="B23" s="10" t="s">
        <v>12</v>
      </c>
      <c r="C23" s="119">
        <v>3.2919046019482812E-2</v>
      </c>
      <c r="D23" s="123">
        <f t="shared" si="0"/>
        <v>7.1684587813620748E-3</v>
      </c>
      <c r="E23" s="139">
        <v>0</v>
      </c>
      <c r="F23" s="8">
        <f>+F22</f>
        <v>0.22</v>
      </c>
      <c r="G23" s="12">
        <f>+G22+E23+F23</f>
        <v>31.13</v>
      </c>
      <c r="H23" s="76">
        <f>(($F$8/1000)*G23)+(($F$9/1000)*G23)</f>
        <v>4953.4678599999997</v>
      </c>
      <c r="I23" s="77">
        <f t="shared" ref="I23:I28" si="2">(+E23/G23)*H23</f>
        <v>0</v>
      </c>
      <c r="J23" s="73">
        <f t="shared" ref="J23:J28" si="3">+(+F23/G23)*H23</f>
        <v>35.006839999999997</v>
      </c>
      <c r="K23" s="81">
        <f>H23-H22</f>
        <v>35.006840000000011</v>
      </c>
      <c r="L23" s="78">
        <f>K23+K22</f>
        <v>70.013680000000022</v>
      </c>
      <c r="M23" s="128">
        <f t="shared" si="1"/>
        <v>1.433691756272402E-2</v>
      </c>
      <c r="N23" s="116"/>
      <c r="O23" s="116"/>
    </row>
    <row r="24" spans="2:17" hidden="1" x14ac:dyDescent="0.25">
      <c r="B24" s="10" t="s">
        <v>13</v>
      </c>
      <c r="C24" s="119">
        <v>3.4200000000000001E-2</v>
      </c>
      <c r="D24" s="123">
        <f t="shared" si="0"/>
        <v>7.1684587813620748E-3</v>
      </c>
      <c r="E24" s="139">
        <v>0</v>
      </c>
      <c r="F24" s="8">
        <f>+F22</f>
        <v>0.22</v>
      </c>
      <c r="G24" s="12">
        <f t="shared" ref="G24:G28" si="4">+G23+E24+F24</f>
        <v>31.349999999999998</v>
      </c>
      <c r="H24" s="76">
        <f>(($F$8/1000)*G24)+(($F$9/1000)*G24)</f>
        <v>4988.4746999999998</v>
      </c>
      <c r="I24" s="77">
        <f t="shared" si="2"/>
        <v>0</v>
      </c>
      <c r="J24" s="73">
        <f t="shared" si="3"/>
        <v>35.006839999999997</v>
      </c>
      <c r="K24" s="81">
        <f t="shared" ref="K24:K28" si="5">H24-H23</f>
        <v>35.006840000000011</v>
      </c>
      <c r="L24" s="78">
        <f>K24+L23</f>
        <v>105.02052000000003</v>
      </c>
      <c r="M24" s="128">
        <f t="shared" si="1"/>
        <v>2.150537634408603E-2</v>
      </c>
      <c r="N24" s="82"/>
      <c r="O24" s="82"/>
    </row>
    <row r="25" spans="2:17" hidden="1" x14ac:dyDescent="0.25">
      <c r="B25" s="10" t="s">
        <v>14</v>
      </c>
      <c r="C25" s="119">
        <v>3.6799999999999999E-2</v>
      </c>
      <c r="D25" s="123">
        <f t="shared" si="0"/>
        <v>7.1684587813620748E-3</v>
      </c>
      <c r="E25" s="139">
        <v>0</v>
      </c>
      <c r="F25" s="8">
        <f>+F22</f>
        <v>0.22</v>
      </c>
      <c r="G25" s="12">
        <f t="shared" si="4"/>
        <v>31.569999999999997</v>
      </c>
      <c r="H25" s="76">
        <f>(($F$8/1000)*G25)+(($F$9/1000)*G25)</f>
        <v>5023.4815399999998</v>
      </c>
      <c r="I25" s="77">
        <f t="shared" si="2"/>
        <v>0</v>
      </c>
      <c r="J25" s="73">
        <f t="shared" si="3"/>
        <v>35.006840000000004</v>
      </c>
      <c r="K25" s="81">
        <f t="shared" si="5"/>
        <v>35.006840000000011</v>
      </c>
      <c r="L25" s="78">
        <f t="shared" ref="L25:L28" si="6">K25+L24</f>
        <v>140.02736000000004</v>
      </c>
      <c r="M25" s="128">
        <f t="shared" si="1"/>
        <v>2.8673835125448039E-2</v>
      </c>
      <c r="N25" s="82"/>
      <c r="O25" s="82"/>
    </row>
    <row r="26" spans="2:17" ht="15.75" hidden="1" thickBot="1" x14ac:dyDescent="0.3">
      <c r="B26" s="10" t="s">
        <v>15</v>
      </c>
      <c r="C26" s="119">
        <v>3.8199999999999998E-2</v>
      </c>
      <c r="D26" s="123">
        <f t="shared" si="0"/>
        <v>7.1684587813620748E-3</v>
      </c>
      <c r="E26" s="139">
        <v>0</v>
      </c>
      <c r="F26" s="8">
        <f>+F22</f>
        <v>0.22</v>
      </c>
      <c r="G26" s="12">
        <f t="shared" si="4"/>
        <v>31.789999999999996</v>
      </c>
      <c r="H26" s="76">
        <f>(($F$8/1000)*G26)+(($F$9/1000)*G26)</f>
        <v>5058.4883799999989</v>
      </c>
      <c r="I26" s="77">
        <f t="shared" si="2"/>
        <v>0</v>
      </c>
      <c r="J26" s="73">
        <f t="shared" si="3"/>
        <v>35.006839999999997</v>
      </c>
      <c r="K26" s="81">
        <f t="shared" si="5"/>
        <v>35.006839999999102</v>
      </c>
      <c r="L26" s="78">
        <f t="shared" si="6"/>
        <v>175.03419999999915</v>
      </c>
      <c r="M26" s="128">
        <f t="shared" si="1"/>
        <v>3.5842293906809861E-2</v>
      </c>
      <c r="N26" s="82"/>
      <c r="O26" s="82"/>
    </row>
    <row r="27" spans="2:17" hidden="1" x14ac:dyDescent="0.25">
      <c r="B27" s="93" t="s">
        <v>42</v>
      </c>
      <c r="C27" s="120">
        <v>3.8199999999999998E-2</v>
      </c>
      <c r="D27" s="124">
        <f t="shared" si="0"/>
        <v>0</v>
      </c>
      <c r="E27" s="140">
        <v>0</v>
      </c>
      <c r="F27" s="107">
        <v>0</v>
      </c>
      <c r="G27" s="95">
        <f t="shared" si="4"/>
        <v>31.789999999999996</v>
      </c>
      <c r="H27" s="109">
        <f t="shared" ref="H27:H28" si="7">(($F$8/1000)*G27)+(($F$9/1000)*G27)</f>
        <v>5058.4883799999989</v>
      </c>
      <c r="I27" s="110">
        <f t="shared" si="2"/>
        <v>0</v>
      </c>
      <c r="J27" s="109">
        <f t="shared" si="3"/>
        <v>0</v>
      </c>
      <c r="K27" s="109">
        <f t="shared" si="5"/>
        <v>0</v>
      </c>
      <c r="L27" s="111">
        <f t="shared" si="6"/>
        <v>175.03419999999915</v>
      </c>
      <c r="M27" s="129">
        <f t="shared" si="1"/>
        <v>3.5842293906809861E-2</v>
      </c>
      <c r="N27" s="82"/>
      <c r="O27" s="82"/>
    </row>
    <row r="28" spans="2:17" ht="15.75" hidden="1" thickBot="1" x14ac:dyDescent="0.3">
      <c r="B28" s="100" t="s">
        <v>43</v>
      </c>
      <c r="C28" s="121">
        <v>3.8199999999999998E-2</v>
      </c>
      <c r="D28" s="125">
        <f t="shared" si="0"/>
        <v>0</v>
      </c>
      <c r="E28" s="141">
        <v>0</v>
      </c>
      <c r="F28" s="108">
        <v>0</v>
      </c>
      <c r="G28" s="102">
        <f t="shared" si="4"/>
        <v>31.789999999999996</v>
      </c>
      <c r="H28" s="112">
        <f t="shared" si="7"/>
        <v>5058.4883799999989</v>
      </c>
      <c r="I28" s="113">
        <f t="shared" si="2"/>
        <v>0</v>
      </c>
      <c r="J28" s="112">
        <f t="shared" si="3"/>
        <v>0</v>
      </c>
      <c r="K28" s="112">
        <f t="shared" si="5"/>
        <v>0</v>
      </c>
      <c r="L28" s="114">
        <f t="shared" si="6"/>
        <v>175.03419999999915</v>
      </c>
      <c r="M28" s="130">
        <f t="shared" si="1"/>
        <v>3.5842293906809861E-2</v>
      </c>
      <c r="N28" s="82"/>
      <c r="O28" s="82"/>
    </row>
    <row r="29" spans="2:17" hidden="1" x14ac:dyDescent="0.25">
      <c r="B29" s="3"/>
      <c r="C29" s="3"/>
      <c r="D29" s="3"/>
      <c r="E29" s="1"/>
      <c r="F29" s="1"/>
      <c r="G29" s="2"/>
      <c r="H29" s="2"/>
      <c r="I29" s="2"/>
      <c r="J29" s="2"/>
      <c r="K29" s="2"/>
      <c r="L29" s="1"/>
      <c r="N29" s="117"/>
      <c r="O29" s="117"/>
    </row>
    <row r="30" spans="2:17" ht="21" hidden="1" thickBot="1" x14ac:dyDescent="0.35">
      <c r="B30" s="20" t="s">
        <v>41</v>
      </c>
      <c r="C30" s="20"/>
      <c r="D30" s="20"/>
      <c r="E30" s="21"/>
      <c r="F30" s="1"/>
      <c r="G30" s="1"/>
      <c r="H30" s="1"/>
      <c r="I30" s="1"/>
      <c r="J30" s="1"/>
      <c r="K30" s="1"/>
      <c r="L30" s="1"/>
      <c r="M30" s="1"/>
      <c r="N30" s="117"/>
      <c r="O30" s="117"/>
    </row>
    <row r="31" spans="2:17" ht="39" hidden="1" thickBot="1" x14ac:dyDescent="0.3">
      <c r="B31" s="17" t="s">
        <v>29</v>
      </c>
      <c r="C31" s="133" t="s">
        <v>46</v>
      </c>
      <c r="D31" s="19" t="s">
        <v>47</v>
      </c>
      <c r="E31" s="14" t="s">
        <v>35</v>
      </c>
      <c r="F31" s="71" t="s">
        <v>45</v>
      </c>
      <c r="G31" s="15" t="s">
        <v>25</v>
      </c>
      <c r="H31" s="69" t="s">
        <v>49</v>
      </c>
      <c r="I31" s="16" t="s">
        <v>36</v>
      </c>
      <c r="J31" s="69" t="s">
        <v>48</v>
      </c>
      <c r="K31" s="83" t="s">
        <v>33</v>
      </c>
      <c r="L31" s="19" t="s">
        <v>37</v>
      </c>
      <c r="M31" s="19" t="s">
        <v>44</v>
      </c>
    </row>
    <row r="32" spans="2:17" hidden="1" x14ac:dyDescent="0.25">
      <c r="B32" s="9" t="s">
        <v>11</v>
      </c>
      <c r="C32" s="118">
        <v>3.1E-2</v>
      </c>
      <c r="D32" s="122">
        <f>+(+E32+F32+$G$4)/$G$4-1</f>
        <v>1.23818833496252E-2</v>
      </c>
      <c r="E32" s="142">
        <v>0</v>
      </c>
      <c r="F32" s="7">
        <v>0.38</v>
      </c>
      <c r="G32" s="11">
        <f>+E32+F32+G4</f>
        <v>31.07</v>
      </c>
      <c r="H32" s="84">
        <f>(($F$8/1000)*G32)+(($F$9/1000)*G32)</f>
        <v>4943.920540000001</v>
      </c>
      <c r="I32" s="85">
        <f>(+E32/G32)*H32</f>
        <v>0</v>
      </c>
      <c r="J32" s="86">
        <f>+(+F32/G32)*H32</f>
        <v>60.466360000000016</v>
      </c>
      <c r="K32" s="87">
        <f>H32-G12</f>
        <v>60.466360000001259</v>
      </c>
      <c r="L32" s="88">
        <f>K32</f>
        <v>60.466360000001259</v>
      </c>
      <c r="M32" s="128">
        <f t="shared" ref="M32:M38" si="8">(H32-$K$8)/$K$8</f>
        <v>1.2381883349625544E-2</v>
      </c>
    </row>
    <row r="33" spans="2:15" hidden="1" x14ac:dyDescent="0.25">
      <c r="B33" s="10" t="s">
        <v>12</v>
      </c>
      <c r="C33" s="119">
        <v>3.2919046019482812E-2</v>
      </c>
      <c r="D33" s="123">
        <f t="shared" ref="D33:D38" si="9">+(+E33+F33+$G$4)/$G$4-1</f>
        <v>1.23818833496252E-2</v>
      </c>
      <c r="E33" s="142">
        <v>0</v>
      </c>
      <c r="F33" s="8">
        <f>+F32</f>
        <v>0.38</v>
      </c>
      <c r="G33" s="12">
        <f>+G32+E33+F33</f>
        <v>31.45</v>
      </c>
      <c r="H33" s="89">
        <f>(($F$8/1000)*G33)+(($F$9/1000)*G33)</f>
        <v>5004.3868999999995</v>
      </c>
      <c r="I33" s="90">
        <f t="shared" ref="I33:I38" si="10">(+E33/G33)*H33</f>
        <v>0</v>
      </c>
      <c r="J33" s="91">
        <f t="shared" ref="J33:J38" si="11">+(+F33/G33)*H33</f>
        <v>60.466359999999995</v>
      </c>
      <c r="K33" s="87">
        <f>H33-H32</f>
        <v>60.466359999998531</v>
      </c>
      <c r="L33" s="88">
        <f>K33+K32</f>
        <v>120.93271999999979</v>
      </c>
      <c r="M33" s="128">
        <f t="shared" si="8"/>
        <v>2.4763766699250529E-2</v>
      </c>
      <c r="N33" s="116"/>
      <c r="O33" s="116"/>
    </row>
    <row r="34" spans="2:15" hidden="1" x14ac:dyDescent="0.25">
      <c r="B34" s="10" t="s">
        <v>13</v>
      </c>
      <c r="C34" s="119">
        <v>3.4299999999999997E-2</v>
      </c>
      <c r="D34" s="123">
        <f t="shared" si="9"/>
        <v>1.23818833496252E-2</v>
      </c>
      <c r="E34" s="142">
        <v>0</v>
      </c>
      <c r="F34" s="8">
        <f>+F32</f>
        <v>0.38</v>
      </c>
      <c r="G34" s="12">
        <f t="shared" ref="G34:G38" si="12">+G33+E34+F34</f>
        <v>31.83</v>
      </c>
      <c r="H34" s="89">
        <f>(($F$8/1000)*G34)+(($F$9/1000)*G34)</f>
        <v>5064.8532599999999</v>
      </c>
      <c r="I34" s="90">
        <f t="shared" si="10"/>
        <v>0</v>
      </c>
      <c r="J34" s="91">
        <f t="shared" si="11"/>
        <v>60.466360000000002</v>
      </c>
      <c r="K34" s="87">
        <f t="shared" ref="K34:K38" si="13">H34-H33</f>
        <v>60.46636000000035</v>
      </c>
      <c r="L34" s="88">
        <f>K34+L33</f>
        <v>181.39908000000014</v>
      </c>
      <c r="M34" s="128">
        <f t="shared" si="8"/>
        <v>3.7145650048875885E-2</v>
      </c>
      <c r="N34" s="82"/>
      <c r="O34" s="82"/>
    </row>
    <row r="35" spans="2:15" hidden="1" x14ac:dyDescent="0.25">
      <c r="B35" s="10" t="s">
        <v>14</v>
      </c>
      <c r="C35" s="119">
        <v>3.6799999999999999E-2</v>
      </c>
      <c r="D35" s="123">
        <f t="shared" si="9"/>
        <v>1.23818833496252E-2</v>
      </c>
      <c r="E35" s="142">
        <v>0</v>
      </c>
      <c r="F35" s="8">
        <f>+F32</f>
        <v>0.38</v>
      </c>
      <c r="G35" s="12">
        <f t="shared" si="12"/>
        <v>32.21</v>
      </c>
      <c r="H35" s="89">
        <f>(($F$8/1000)*G35)+(($F$9/1000)*G35)</f>
        <v>5125.3196200000002</v>
      </c>
      <c r="I35" s="90">
        <f t="shared" si="10"/>
        <v>0</v>
      </c>
      <c r="J35" s="91">
        <f t="shared" si="11"/>
        <v>60.466360000000002</v>
      </c>
      <c r="K35" s="87">
        <f t="shared" si="13"/>
        <v>60.46636000000035</v>
      </c>
      <c r="L35" s="88">
        <f t="shared" ref="L35:L38" si="14">K35+L34</f>
        <v>241.86544000000049</v>
      </c>
      <c r="M35" s="128">
        <f t="shared" si="8"/>
        <v>4.9527533398501244E-2</v>
      </c>
      <c r="N35" s="82"/>
      <c r="O35" s="82"/>
    </row>
    <row r="36" spans="2:15" ht="15.75" hidden="1" thickBot="1" x14ac:dyDescent="0.3">
      <c r="B36" s="10" t="s">
        <v>15</v>
      </c>
      <c r="C36" s="119">
        <v>3.8199999999999998E-2</v>
      </c>
      <c r="D36" s="123">
        <f t="shared" si="9"/>
        <v>1.23818833496252E-2</v>
      </c>
      <c r="E36" s="142">
        <v>0</v>
      </c>
      <c r="F36" s="8">
        <f>+F32</f>
        <v>0.38</v>
      </c>
      <c r="G36" s="12">
        <f t="shared" si="12"/>
        <v>32.590000000000003</v>
      </c>
      <c r="H36" s="89">
        <f>(($F$8/1000)*G36)+(($F$9/1000)*G36)</f>
        <v>5185.7859800000006</v>
      </c>
      <c r="I36" s="90">
        <f t="shared" si="10"/>
        <v>0</v>
      </c>
      <c r="J36" s="91">
        <f t="shared" si="11"/>
        <v>60.466360000000002</v>
      </c>
      <c r="K36" s="87">
        <f t="shared" si="13"/>
        <v>60.46636000000035</v>
      </c>
      <c r="L36" s="88">
        <f t="shared" si="14"/>
        <v>302.33180000000084</v>
      </c>
      <c r="M36" s="128">
        <f t="shared" si="8"/>
        <v>6.1909416748126604E-2</v>
      </c>
      <c r="N36" s="82"/>
      <c r="O36" s="82"/>
    </row>
    <row r="37" spans="2:15" hidden="1" x14ac:dyDescent="0.25">
      <c r="B37" s="93" t="s">
        <v>42</v>
      </c>
      <c r="C37" s="120">
        <v>3.8199999999999998E-2</v>
      </c>
      <c r="D37" s="124">
        <f t="shared" si="9"/>
        <v>0</v>
      </c>
      <c r="E37" s="140">
        <v>0</v>
      </c>
      <c r="F37" s="107">
        <v>0</v>
      </c>
      <c r="G37" s="95">
        <f t="shared" si="12"/>
        <v>32.590000000000003</v>
      </c>
      <c r="H37" s="96">
        <f t="shared" ref="H37:H38" si="15">(($F$8/1000)*G37)+(($F$9/1000)*G37)</f>
        <v>5185.7859800000006</v>
      </c>
      <c r="I37" s="97">
        <f t="shared" si="10"/>
        <v>0</v>
      </c>
      <c r="J37" s="96">
        <f t="shared" si="11"/>
        <v>0</v>
      </c>
      <c r="K37" s="98">
        <f t="shared" si="13"/>
        <v>0</v>
      </c>
      <c r="L37" s="98">
        <f t="shared" si="14"/>
        <v>302.33180000000084</v>
      </c>
      <c r="M37" s="131">
        <f t="shared" si="8"/>
        <v>6.1909416748126604E-2</v>
      </c>
      <c r="N37" s="82"/>
      <c r="O37" s="82"/>
    </row>
    <row r="38" spans="2:15" ht="15.75" hidden="1" thickBot="1" x14ac:dyDescent="0.3">
      <c r="B38" s="100" t="s">
        <v>43</v>
      </c>
      <c r="C38" s="121">
        <v>3.8199999999999998E-2</v>
      </c>
      <c r="D38" s="125">
        <f t="shared" si="9"/>
        <v>0</v>
      </c>
      <c r="E38" s="141">
        <v>0</v>
      </c>
      <c r="F38" s="108">
        <v>0</v>
      </c>
      <c r="G38" s="102">
        <f t="shared" si="12"/>
        <v>32.590000000000003</v>
      </c>
      <c r="H38" s="103">
        <f t="shared" si="15"/>
        <v>5185.7859800000006</v>
      </c>
      <c r="I38" s="104">
        <f t="shared" si="10"/>
        <v>0</v>
      </c>
      <c r="J38" s="103">
        <f t="shared" si="11"/>
        <v>0</v>
      </c>
      <c r="K38" s="105">
        <f t="shared" si="13"/>
        <v>0</v>
      </c>
      <c r="L38" s="105">
        <f t="shared" si="14"/>
        <v>302.33180000000084</v>
      </c>
      <c r="M38" s="132">
        <f t="shared" si="8"/>
        <v>6.1909416748126604E-2</v>
      </c>
      <c r="N38" s="82"/>
      <c r="O38" s="82"/>
    </row>
    <row r="39" spans="2:15" x14ac:dyDescent="0.25">
      <c r="B39" s="1"/>
      <c r="C39" s="18"/>
      <c r="D39" s="1"/>
      <c r="E39" s="6"/>
      <c r="F39" s="1"/>
      <c r="G39" s="1"/>
      <c r="H39" s="1"/>
      <c r="I39" s="1"/>
      <c r="J39" s="1"/>
      <c r="K39" s="1"/>
      <c r="L39" s="1"/>
      <c r="N39" s="117"/>
      <c r="O39" s="117"/>
    </row>
    <row r="40" spans="2:15" ht="21" thickBot="1" x14ac:dyDescent="0.3">
      <c r="B40" s="20" t="s">
        <v>63</v>
      </c>
      <c r="C40" s="18"/>
      <c r="D40" s="1"/>
      <c r="E40" s="6"/>
      <c r="F40" s="1"/>
      <c r="G40" s="1"/>
      <c r="H40" s="1"/>
      <c r="I40" s="1"/>
      <c r="J40" s="1"/>
      <c r="K40" s="1"/>
      <c r="L40" s="1"/>
      <c r="N40" s="117"/>
      <c r="O40" s="117"/>
    </row>
    <row r="41" spans="2:15" ht="39" thickBot="1" x14ac:dyDescent="0.3">
      <c r="B41" s="13" t="s">
        <v>29</v>
      </c>
      <c r="C41" s="133" t="s">
        <v>46</v>
      </c>
      <c r="D41" s="19" t="s">
        <v>47</v>
      </c>
      <c r="E41" s="14" t="s">
        <v>35</v>
      </c>
      <c r="F41" s="71" t="s">
        <v>45</v>
      </c>
      <c r="G41" s="15" t="s">
        <v>25</v>
      </c>
      <c r="H41" s="16" t="s">
        <v>49</v>
      </c>
      <c r="I41" s="16" t="s">
        <v>36</v>
      </c>
      <c r="J41" s="16" t="s">
        <v>48</v>
      </c>
      <c r="K41" s="83" t="s">
        <v>33</v>
      </c>
      <c r="L41" s="19" t="s">
        <v>37</v>
      </c>
      <c r="M41" s="19" t="s">
        <v>44</v>
      </c>
    </row>
    <row r="42" spans="2:15" x14ac:dyDescent="0.25">
      <c r="B42" s="9" t="s">
        <v>50</v>
      </c>
      <c r="C42" s="118">
        <v>0.03</v>
      </c>
      <c r="D42" s="122">
        <f>+(+E42+F42+$G$4)/$G$4-1</f>
        <v>1.8898664059954218E-2</v>
      </c>
      <c r="E42" s="142">
        <v>0</v>
      </c>
      <c r="F42" s="7">
        <v>0.57999999999999996</v>
      </c>
      <c r="G42" s="11">
        <f>+E42+F42+G4</f>
        <v>31.27</v>
      </c>
      <c r="H42" s="92">
        <f>(($F$8/1000)*G42)+(($F$9/1000)*G42)</f>
        <v>4975.7449400000005</v>
      </c>
      <c r="I42" s="90">
        <f>(+E42/G42)*H42</f>
        <v>0</v>
      </c>
      <c r="J42" s="91">
        <f>+(+F42/G42)*H42</f>
        <v>92.290760000000006</v>
      </c>
      <c r="K42" s="87">
        <f>H42-G12</f>
        <v>92.290760000000773</v>
      </c>
      <c r="L42" s="88">
        <f>K42</f>
        <v>92.290760000000773</v>
      </c>
      <c r="M42" s="128">
        <f t="shared" ref="M42:M48" si="16">(H42-$K$8)/$K$8</f>
        <v>1.889866405995454E-2</v>
      </c>
    </row>
    <row r="43" spans="2:15" x14ac:dyDescent="0.25">
      <c r="B43" s="10" t="s">
        <v>51</v>
      </c>
      <c r="C43" s="119">
        <v>3.2919046019482812E-2</v>
      </c>
      <c r="D43" s="123">
        <f t="shared" ref="D43:D48" si="17">+(+E43+F43+$G$4)/$G$4-1</f>
        <v>1.8572825024437911E-2</v>
      </c>
      <c r="E43" s="142">
        <v>0</v>
      </c>
      <c r="F43" s="8">
        <v>0.56999999999999995</v>
      </c>
      <c r="G43" s="12">
        <f>+G42+E43+F43</f>
        <v>31.84</v>
      </c>
      <c r="H43" s="92">
        <f>(($F$8/1000)*G43)+(($F$9/1000)*G43)</f>
        <v>5066.4444800000001</v>
      </c>
      <c r="I43" s="90">
        <f t="shared" ref="I43:I48" si="18">(+E43/G43)*H43</f>
        <v>0</v>
      </c>
      <c r="J43" s="91">
        <f t="shared" ref="J43:J48" si="19">+(+F43/G43)*H43</f>
        <v>90.699539999999985</v>
      </c>
      <c r="K43" s="87">
        <f>H43-H42</f>
        <v>90.699539999999615</v>
      </c>
      <c r="L43" s="88">
        <f>K43+K42</f>
        <v>182.99030000000039</v>
      </c>
      <c r="M43" s="128">
        <f t="shared" si="16"/>
        <v>3.7471489084392393E-2</v>
      </c>
    </row>
    <row r="44" spans="2:15" x14ac:dyDescent="0.25">
      <c r="B44" s="10" t="s">
        <v>52</v>
      </c>
      <c r="C44" s="119">
        <v>3.4299999999999997E-2</v>
      </c>
      <c r="D44" s="123">
        <f t="shared" si="17"/>
        <v>1.8572825024437911E-2</v>
      </c>
      <c r="E44" s="142">
        <v>0</v>
      </c>
      <c r="F44" s="8">
        <v>0.56999999999999995</v>
      </c>
      <c r="G44" s="12">
        <f t="shared" ref="G44:G48" si="20">+G43+E44+F44</f>
        <v>32.409999999999997</v>
      </c>
      <c r="H44" s="92">
        <f>(($F$8/1000)*G44)+(($F$9/1000)*G44)</f>
        <v>5157.1440199999988</v>
      </c>
      <c r="I44" s="90">
        <f t="shared" si="18"/>
        <v>0</v>
      </c>
      <c r="J44" s="91">
        <f t="shared" si="19"/>
        <v>90.699539999999985</v>
      </c>
      <c r="K44" s="87">
        <f t="shared" ref="K44:K48" si="21">H44-H43</f>
        <v>90.699539999998706</v>
      </c>
      <c r="L44" s="88">
        <f>K44+L43</f>
        <v>273.68983999999909</v>
      </c>
      <c r="M44" s="128">
        <f t="shared" si="16"/>
        <v>5.6044314108830054E-2</v>
      </c>
    </row>
    <row r="45" spans="2:15" x14ac:dyDescent="0.25">
      <c r="B45" s="10" t="s">
        <v>53</v>
      </c>
      <c r="C45" s="119">
        <v>3.6799999999999999E-2</v>
      </c>
      <c r="D45" s="123">
        <f t="shared" si="17"/>
        <v>1.8572825024437911E-2</v>
      </c>
      <c r="E45" s="142">
        <v>0</v>
      </c>
      <c r="F45" s="8">
        <v>0.56999999999999995</v>
      </c>
      <c r="G45" s="12">
        <f t="shared" si="20"/>
        <v>32.979999999999997</v>
      </c>
      <c r="H45" s="92">
        <f>(($F$8/1000)*G45)+(($F$9/1000)*G45)</f>
        <v>5247.8435600000003</v>
      </c>
      <c r="I45" s="90">
        <f t="shared" si="18"/>
        <v>0</v>
      </c>
      <c r="J45" s="91">
        <f t="shared" si="19"/>
        <v>90.699540000000013</v>
      </c>
      <c r="K45" s="87">
        <f t="shared" si="21"/>
        <v>90.699540000001434</v>
      </c>
      <c r="L45" s="88">
        <f t="shared" ref="L45:L48" si="22">K45+L44</f>
        <v>364.38938000000053</v>
      </c>
      <c r="M45" s="128">
        <f t="shared" si="16"/>
        <v>7.4617139133268284E-2</v>
      </c>
    </row>
    <row r="46" spans="2:15" ht="15.75" thickBot="1" x14ac:dyDescent="0.3">
      <c r="B46" s="10" t="s">
        <v>54</v>
      </c>
      <c r="C46" s="119">
        <v>3.8199999999999998E-2</v>
      </c>
      <c r="D46" s="123">
        <f t="shared" si="17"/>
        <v>1.8572825024437911E-2</v>
      </c>
      <c r="E46" s="142">
        <v>0</v>
      </c>
      <c r="F46" s="8">
        <v>0.56999999999999995</v>
      </c>
      <c r="G46" s="12">
        <f t="shared" si="20"/>
        <v>33.549999999999997</v>
      </c>
      <c r="H46" s="92">
        <f>(($F$8/1000)*G46)+(($F$9/1000)*G46)</f>
        <v>5338.5430999999999</v>
      </c>
      <c r="I46" s="90">
        <f t="shared" si="18"/>
        <v>0</v>
      </c>
      <c r="J46" s="91">
        <f t="shared" si="19"/>
        <v>90.699539999999999</v>
      </c>
      <c r="K46" s="87">
        <f t="shared" si="21"/>
        <v>90.699539999999615</v>
      </c>
      <c r="L46" s="88">
        <f t="shared" si="22"/>
        <v>455.08892000000014</v>
      </c>
      <c r="M46" s="128">
        <f t="shared" si="16"/>
        <v>9.3189964157706126E-2</v>
      </c>
    </row>
    <row r="47" spans="2:15" x14ac:dyDescent="0.25">
      <c r="B47" s="93" t="s">
        <v>55</v>
      </c>
      <c r="C47" s="120">
        <v>3.8199999999999998E-2</v>
      </c>
      <c r="D47" s="126">
        <f t="shared" si="17"/>
        <v>0</v>
      </c>
      <c r="E47" s="140">
        <v>0</v>
      </c>
      <c r="F47" s="94">
        <v>0</v>
      </c>
      <c r="G47" s="95">
        <f t="shared" si="20"/>
        <v>33.549999999999997</v>
      </c>
      <c r="H47" s="96">
        <f t="shared" ref="H47:H48" si="23">(($F$8/1000)*G47)+(($F$9/1000)*G47)</f>
        <v>5338.5430999999999</v>
      </c>
      <c r="I47" s="97">
        <f t="shared" si="18"/>
        <v>0</v>
      </c>
      <c r="J47" s="96">
        <f t="shared" si="19"/>
        <v>0</v>
      </c>
      <c r="K47" s="98">
        <f t="shared" si="21"/>
        <v>0</v>
      </c>
      <c r="L47" s="99">
        <f t="shared" si="22"/>
        <v>455.08892000000014</v>
      </c>
      <c r="M47" s="131">
        <f t="shared" si="16"/>
        <v>9.3189964157706126E-2</v>
      </c>
    </row>
    <row r="48" spans="2:15" ht="15.75" thickBot="1" x14ac:dyDescent="0.3">
      <c r="B48" s="100" t="s">
        <v>62</v>
      </c>
      <c r="C48" s="121">
        <v>3.8199999999999998E-2</v>
      </c>
      <c r="D48" s="127">
        <f t="shared" si="17"/>
        <v>0</v>
      </c>
      <c r="E48" s="141">
        <v>0</v>
      </c>
      <c r="F48" s="101">
        <v>0</v>
      </c>
      <c r="G48" s="102">
        <f t="shared" si="20"/>
        <v>33.549999999999997</v>
      </c>
      <c r="H48" s="103">
        <f t="shared" si="23"/>
        <v>5338.5430999999999</v>
      </c>
      <c r="I48" s="104">
        <f t="shared" si="18"/>
        <v>0</v>
      </c>
      <c r="J48" s="103">
        <f t="shared" si="19"/>
        <v>0</v>
      </c>
      <c r="K48" s="105">
        <f t="shared" si="21"/>
        <v>0</v>
      </c>
      <c r="L48" s="106">
        <f t="shared" si="22"/>
        <v>455.08892000000014</v>
      </c>
      <c r="M48" s="132">
        <f t="shared" si="16"/>
        <v>9.3189964157706126E-2</v>
      </c>
    </row>
    <row r="49" spans="2:12" x14ac:dyDescent="0.25">
      <c r="B49" s="1"/>
      <c r="C49" s="1"/>
      <c r="D49" s="1"/>
      <c r="E49" s="6" t="s">
        <v>34</v>
      </c>
      <c r="F49" s="1"/>
      <c r="G49" s="1"/>
      <c r="H49" s="1"/>
      <c r="I49" s="1"/>
      <c r="J49" s="1"/>
      <c r="K49" s="1"/>
      <c r="L49" s="1"/>
    </row>
    <row r="50" spans="2:12" x14ac:dyDescent="0.25">
      <c r="B50" s="4" t="s">
        <v>26</v>
      </c>
      <c r="C50" s="4"/>
      <c r="D50" s="1"/>
      <c r="E50" s="1"/>
      <c r="F50" s="1"/>
      <c r="G50" s="1"/>
      <c r="H50" s="1"/>
      <c r="I50" s="1" t="s">
        <v>34</v>
      </c>
      <c r="J50" s="1"/>
      <c r="K50" s="1"/>
      <c r="L50" s="1"/>
    </row>
    <row r="51" spans="2:12" x14ac:dyDescent="0.25">
      <c r="B51" s="1" t="s">
        <v>27</v>
      </c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25">
      <c r="B52" s="1" t="s">
        <v>28</v>
      </c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25">
      <c r="B53" s="1" t="s">
        <v>39</v>
      </c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sheetProtection algorithmName="SHA-512" hashValue="wLXwipNqY3OfWWuJw/slENfls/aKHEqa9srmKfX4nyXT+y+YZr4+f0kclcsEy5bo/xrX83ATRzpHSn2ziyuz/Q==" saltValue="YC5Ib/3O4A3uNzHibyC9MA==" spinCount="100000" sheet="1" objects="1" scenarios="1" selectLockedCells="1"/>
  <mergeCells count="16">
    <mergeCell ref="L9:L11"/>
    <mergeCell ref="B11:D11"/>
    <mergeCell ref="B2:G2"/>
    <mergeCell ref="J2:L2"/>
    <mergeCell ref="B4:D4"/>
    <mergeCell ref="B5:D5"/>
    <mergeCell ref="B6:D6"/>
    <mergeCell ref="B7:D7"/>
    <mergeCell ref="B12:D12"/>
    <mergeCell ref="B13:D13"/>
    <mergeCell ref="B14:D14"/>
    <mergeCell ref="G14:K14"/>
    <mergeCell ref="B8:D8"/>
    <mergeCell ref="B9:D10"/>
    <mergeCell ref="J9:J11"/>
    <mergeCell ref="K9:K11"/>
  </mergeCells>
  <dataValidations xWindow="413" yWindow="585" count="18">
    <dataValidation type="decimal" allowBlank="1" showInputMessage="1" showErrorMessage="1" errorTitle="EXCEEDS ACT 1 INDEX" error="The value you entered exceeds the estimated allowable Base Act 1 Index of 3.82%." promptTitle="GENERAL FUND MILLAGE" prompt="Enter a millage value for General Fund Expenses" sqref="E27:E28 E37:E38">
      <formula1>0</formula1>
      <formula2>1.136</formula2>
    </dataValidation>
    <dataValidation type="decimal" allowBlank="1" showInputMessage="1" showErrorMessage="1" errorTitle="EXCEEDS ACT 1 INDEX" error="The value you entered exceeds the estimated allowable Base Act 1 Index of 3.82%." promptTitle="GENERAL FUND MILLAGE" prompt="Enter a millage value between 0 and .602 for General Fund Expenses.  _x000a__x000a_The Projected 2023-24 Adusted Act 1 Index is 3.82%" sqref="E46">
      <formula1>0</formula1>
      <formula2>0.602</formula2>
    </dataValidation>
    <dataValidation type="decimal" allowBlank="1" showInputMessage="1" showErrorMessage="1" errorTitle="EXCEEDS ACT 1 INDEX" error="The value you entered exceeds the estimated allowable Base Act 1 Index of 3.68%." promptTitle="GENERAL FUND MILLAGE" prompt="Enter a millage value between 0 and .56 for General Fund Expenses.  _x000a__x000a_The Projected 2022-23 Adusted Act 1 Index is 3.68%" sqref="E45">
      <formula1>0</formula1>
      <formula2>0.56</formula2>
    </dataValidation>
    <dataValidation type="decimal" allowBlank="1" showInputMessage="1" showErrorMessage="1" errorTitle="EXCEEDS ACT 1 INDEX" error="The value you entered exceeds the estimated allowable Base Act 1 Index of 3.43%." promptTitle="GENERAL FUND MILLAGE" prompt="Enter a millage value between 0 and .482 for General Fund Expenses.  _x000a__x000a_The Projected 2021-22 Adusted Act 1 Index is 3.43%" sqref="E44">
      <formula1>0</formula1>
      <formula2>0.482</formula2>
    </dataValidation>
    <dataValidation type="decimal" allowBlank="1" showInputMessage="1" showErrorMessage="1" errorTitle="EXCEEDS ACT 1" error="The value you entered exceeds the estimated allowable Base Act 1 Index of 3.29%." promptTitle="GENERAL FUND MILLAGE" prompt="Enter a millage value between 0 and .44 for General Fund Expenses.  _x000a__x000a_2020-21 Projected Adusted Act 1 Index is 3.29%" sqref="E43">
      <formula1>0</formula1>
      <formula2>0.44</formula2>
    </dataValidation>
    <dataValidation type="decimal" allowBlank="1" showInputMessage="1" showErrorMessage="1" errorTitle="EXCEEDS ACT 1" error="The value you entered exceeds the allowable Base Adj. Act 1 Index of 3.0%." promptTitle="GENERAL FUND MILLAGE" prompt="Enter a millage value between 0 and .34 for General Fund Expenses.  _x000a__x000a_2019-20 Adusted Act 1 Index is 3.00%" sqref="E42">
      <formula1>0</formula1>
      <formula2>0.34</formula2>
    </dataValidation>
    <dataValidation type="decimal" allowBlank="1" showInputMessage="1" showErrorMessage="1" errorTitle="EXCEEDS ACT 1 INDEX" error="The value you entered exceeds the estimated allowable Base Act 1 Index of 3.82%." promptTitle="GENERAL FUND MILLAGE" prompt="Enter a millage value for General Fund Expenses" sqref="E36">
      <formula1>0</formula1>
      <formula2>0.758</formula2>
    </dataValidation>
    <dataValidation type="decimal" allowBlank="1" showInputMessage="1" showErrorMessage="1" errorTitle="EXCEEDS ACT 1 INDEX" error="The value you entered exceeds the estimated allowable Base Act 1 Index of 3.68%." promptTitle="GENERAL FUND MILLAGE" prompt="Enter a millage value for General Fund Expenses" sqref="E35">
      <formula1>0</formula1>
      <formula2>0.715</formula2>
    </dataValidation>
    <dataValidation type="decimal" allowBlank="1" showInputMessage="1" showErrorMessage="1" errorTitle="EXCEEDS ACT 1 INDEX" error="The value you entered exceeds the estimated allowable Base Act 1 Index of 3.43%." promptTitle="GENERAL FUND MILLAGE" prompt="Enter a millage value for General Fund Expenses" sqref="E34">
      <formula1>0</formula1>
      <formula2>0.64</formula2>
    </dataValidation>
    <dataValidation type="decimal" allowBlank="1" showInputMessage="1" showErrorMessage="1" errorTitle="EXCEEDS ACT 1" error="The value you entered exceeds the estimated allowable Base Act 1 Index of 3.29%." promptTitle="GENERAL FUND MILLAGE" prompt="Enter a millage value for General Fund Expenses" sqref="E33">
      <formula1>0</formula1>
      <formula2>0.6</formula2>
    </dataValidation>
    <dataValidation type="decimal" allowBlank="1" showInputMessage="1" showErrorMessage="1" errorTitle="EXCEEDS ACT 1" error="The value you entered exceeds the estimated allowable Base Act 1 Index of 3.1%." promptTitle="GENERAL FUND MILLAGE" prompt="Enter a millage value for General Fund Expenses" sqref="E32">
      <formula1>0</formula1>
      <formula2>0.544</formula2>
    </dataValidation>
    <dataValidation type="decimal" allowBlank="1" showInputMessage="1" showErrorMessage="1" errorTitle="EXCEEDS ACT 1 INDEX" error="The value you entered exceeds the estimated allowable Base Act 1 Index of 3.82%." promptTitle="GENERAL FUND MILLAGE" prompt="Enter a millage value for General Fund Expenses" sqref="E26">
      <formula1>0</formula1>
      <formula2>0.918</formula2>
    </dataValidation>
    <dataValidation type="decimal" allowBlank="1" showInputMessage="1" showErrorMessage="1" errorTitle="EXCEEDS ACT 1 INDEX" error="The value you entered exceeds the estimated allowable Base Act 1 Index of 3.68%." promptTitle="GENERAL FUND MILLAGE" prompt="Enter a millage value for General Fund Expenses" sqref="E25">
      <formula1>0</formula1>
      <formula2>0.875</formula2>
    </dataValidation>
    <dataValidation type="decimal" allowBlank="1" showInputMessage="1" showErrorMessage="1" errorTitle="EXCEEDS ACT 1 INDEX" error="The value you entered exceeds the estimated allowable Base Act 1 Index of 3.42%." promptTitle="GENERAL FUND MILLAGE" prompt="Enter a millage value for General Fund Expenses" sqref="E24">
      <formula1>0</formula1>
      <formula2>0.7994</formula2>
    </dataValidation>
    <dataValidation type="decimal" allowBlank="1" showInputMessage="1" showErrorMessage="1" errorTitle="EXCEEDS ACT 1" error="The value you entered exceeds the estimated allowable Base Act 1 Index of 3.29%." promptTitle="GENERAL FUND MILLAGE" prompt="Enter a millage value for General Fund Expenses" sqref="E23">
      <formula1>0</formula1>
      <formula2>0.76</formula2>
    </dataValidation>
    <dataValidation type="decimal" allowBlank="1" showInputMessage="1" showErrorMessage="1" errorTitle="EXCEEDS ACT 1" error="The value you entered exceeds the estimataed allowable Base Act 1 Index of 3.10%." promptTitle="GENERAL FUND MILLAGE" prompt="Enter a millage value for General Fund Expenses" sqref="E22">
      <formula1>0</formula1>
      <formula2>0.704</formula2>
    </dataValidation>
    <dataValidation allowBlank="1" showInputMessage="1" showErrorMessage="1" promptTitle="Homestead Reduction" prompt="For Qualifying Parcels, enter &quot;-11,047&quot;, otherwise enter &quot;0&quot;._x000a__x000a_For info on PDE Homestead Reduction see:_x000a_http://www.education.pa.gov/Teachers%20-%20Administrators/Property%20Tax%20Relief/Pages/Property-Tax-Reduction-Allocations.aspx_x000a__x000a_" sqref="F9"/>
    <dataValidation type="decimal" allowBlank="1" showInputMessage="1" showErrorMessage="1" errorTitle="EXCEEDS ACT 1 INDEX" error="The value you entered exceeds the estimated allowable Base Act 1 Index of 3.82%." promptTitle="GENERAL FUND MILLAGE" prompt="Enter a millage value between 0 and 1.136 for General Fund Expenses.  _x000a__x000a_The Projected 2024-25 Adusted Act 1 Index is 3.82%" sqref="E47 E48">
      <formula1>0</formula1>
      <formula2>1.136</formula2>
    </dataValidation>
  </dataValidations>
  <pageMargins left="0.45" right="0.2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 CALC</vt:lpstr>
    </vt:vector>
  </TitlesOfParts>
  <Company>Avon Grove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O'Hara Marcia</dc:creator>
  <cp:lastModifiedBy>Marchese Chris</cp:lastModifiedBy>
  <cp:lastPrinted>2018-03-20T13:10:10Z</cp:lastPrinted>
  <dcterms:created xsi:type="dcterms:W3CDTF">2018-01-03T19:40:52Z</dcterms:created>
  <dcterms:modified xsi:type="dcterms:W3CDTF">2018-11-06T14:38:27Z</dcterms:modified>
</cp:coreProperties>
</file>